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2120" windowHeight="7995"/>
  </bookViews>
  <sheets>
    <sheet name="prob 3" sheetId="18" r:id="rId1"/>
    <sheet name="prob 5" sheetId="20" r:id="rId2"/>
    <sheet name="prob 11" sheetId="24" r:id="rId3"/>
  </sheets>
  <definedNames>
    <definedName name="_xlnm.Print_Area" localSheetId="2">'prob 11'!$A$1:$N$21</definedName>
    <definedName name="_xlnm.Print_Area" localSheetId="0">'prob 3'!$A$1:$R$25</definedName>
    <definedName name="_xlnm.Print_Area" localSheetId="1">'prob 5'!$A$1:$O$70</definedName>
  </definedNames>
  <calcPr calcId="145621"/>
</workbook>
</file>

<file path=xl/calcChain.xml><?xml version="1.0" encoding="utf-8"?>
<calcChain xmlns="http://schemas.openxmlformats.org/spreadsheetml/2006/main">
  <c r="O10" i="18" l="1"/>
  <c r="E13" i="24" l="1"/>
  <c r="F13" i="24"/>
  <c r="G13" i="24"/>
  <c r="H13" i="24"/>
  <c r="C13" i="24"/>
  <c r="D13" i="24"/>
  <c r="G60" i="20" l="1"/>
  <c r="E68" i="20" s="1"/>
  <c r="F61" i="20"/>
  <c r="G69" i="20" s="1"/>
  <c r="J59" i="20"/>
  <c r="F67" i="20" s="1"/>
  <c r="H67" i="20" s="1"/>
  <c r="I59" i="20"/>
  <c r="F69" i="20"/>
  <c r="H69" i="20" s="1"/>
  <c r="E69" i="20"/>
  <c r="D69" i="20"/>
  <c r="G68" i="20"/>
  <c r="F68" i="20"/>
  <c r="D68" i="20"/>
  <c r="G67" i="20"/>
  <c r="E67" i="20"/>
  <c r="D67" i="20"/>
  <c r="L35" i="20"/>
  <c r="H68" i="20" l="1"/>
  <c r="M37" i="20"/>
  <c r="L37" i="20"/>
  <c r="N37" i="20" s="1"/>
  <c r="K37" i="20"/>
  <c r="J37" i="20"/>
  <c r="M36" i="20"/>
  <c r="L36" i="20"/>
  <c r="N36" i="20" s="1"/>
  <c r="K36" i="20"/>
  <c r="J36" i="20"/>
  <c r="M35" i="20"/>
  <c r="N35" i="20"/>
  <c r="K35" i="20"/>
  <c r="J35" i="20"/>
  <c r="P23" i="18"/>
  <c r="O23" i="18"/>
  <c r="P20" i="18"/>
  <c r="O20" i="18"/>
  <c r="P16" i="18"/>
  <c r="O16" i="18"/>
  <c r="P15" i="18"/>
  <c r="P19" i="18" s="1"/>
  <c r="P22" i="18" s="1"/>
  <c r="P24" i="18" s="1"/>
  <c r="O15" i="18"/>
  <c r="Q14" i="18"/>
  <c r="O14" i="18"/>
  <c r="P13" i="18"/>
  <c r="Q12" i="18"/>
  <c r="P12" i="18"/>
  <c r="O12" i="18"/>
  <c r="Q11" i="18"/>
  <c r="P11" i="18"/>
  <c r="O11" i="18"/>
  <c r="Q10" i="18"/>
  <c r="Q23" i="18" s="1"/>
  <c r="P10" i="18"/>
  <c r="O17" i="18" l="1"/>
  <c r="O19" i="18"/>
  <c r="O22" i="18" s="1"/>
  <c r="O24" i="18" s="1"/>
  <c r="Q20" i="18"/>
  <c r="Q22" i="18" s="1"/>
  <c r="Q24" i="18" s="1"/>
  <c r="P17" i="18"/>
</calcChain>
</file>

<file path=xl/sharedStrings.xml><?xml version="1.0" encoding="utf-8"?>
<sst xmlns="http://schemas.openxmlformats.org/spreadsheetml/2006/main" count="228" uniqueCount="120">
  <si>
    <t>total</t>
  </si>
  <si>
    <t>Stations</t>
  </si>
  <si>
    <t>Type of aircraft</t>
  </si>
  <si>
    <t>Number of flights</t>
  </si>
  <si>
    <t>Capacity available</t>
  </si>
  <si>
    <t>Revenue traffic</t>
  </si>
  <si>
    <t>From</t>
  </si>
  <si>
    <t>to</t>
  </si>
  <si>
    <t>Number of  seats</t>
  </si>
  <si>
    <t>Total payload</t>
  </si>
  <si>
    <t>Passenger</t>
  </si>
  <si>
    <t>Freight</t>
  </si>
  <si>
    <t>Block time</t>
  </si>
  <si>
    <t>(tonnes)</t>
  </si>
  <si>
    <t>numbers</t>
  </si>
  <si>
    <t>(km)</t>
  </si>
  <si>
    <t>(hrs)</t>
  </si>
  <si>
    <t>Description</t>
  </si>
  <si>
    <t>Units</t>
  </si>
  <si>
    <t>International</t>
  </si>
  <si>
    <t>Domestic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</si>
  <si>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 xml:space="preserve">Aircraft kilometres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</si>
  <si>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Aircraft departures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</si>
  <si>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Aircraft hours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</si>
  <si>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Passengers carried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</si>
  <si>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Freight carried (tonnes)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</si>
  <si>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Passenger-kilometres performed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</si>
  <si>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Seat-kilometres available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</si>
  <si>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Passenger load factor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</si>
  <si>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Times New Roman"/>
        <family val="1"/>
      </rPr>
      <t>Tonne-kilometres performed</t>
    </r>
  </si>
  <si>
    <r>
      <t xml:space="preserve">         a)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Times New Roman"/>
        <family val="1"/>
      </rPr>
      <t>Passenger (inc baggage)</t>
    </r>
  </si>
  <si>
    <r>
      <t xml:space="preserve">         b)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Times New Roman"/>
        <family val="1"/>
      </rPr>
      <t>Freight</t>
    </r>
  </si>
  <si>
    <r>
      <t xml:space="preserve">         c)</t>
    </r>
    <r>
      <rPr>
        <sz val="7"/>
        <color theme="1"/>
        <rFont val="Times New Roman"/>
        <family val="1"/>
      </rPr>
      <t xml:space="preserve">  </t>
    </r>
    <r>
      <rPr>
        <sz val="10"/>
        <color theme="1"/>
        <rFont val="Times New Roman"/>
        <family val="1"/>
      </rPr>
      <t>Mail</t>
    </r>
  </si>
  <si>
    <r>
      <t xml:space="preserve">         d)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Total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</si>
  <si>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Tonne-kilometres available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</si>
  <si>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Weight load factor</t>
    </r>
  </si>
  <si>
    <t>number</t>
  </si>
  <si>
    <t>%</t>
  </si>
  <si>
    <t>seats</t>
  </si>
  <si>
    <t xml:space="preserve"> </t>
  </si>
  <si>
    <t>payload</t>
  </si>
  <si>
    <t>capacity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</si>
  <si>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</si>
  <si>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</si>
  <si>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</si>
  <si>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</si>
  <si>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</si>
  <si>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</si>
  <si>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</si>
  <si>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</si>
  <si>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</si>
  <si>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Passengers</t>
  </si>
  <si>
    <t>i</t>
  </si>
  <si>
    <t>departed</t>
  </si>
  <si>
    <t>arrived</t>
  </si>
  <si>
    <t>Local traffic</t>
  </si>
  <si>
    <t>Direct transits</t>
  </si>
  <si>
    <t>Transfers</t>
  </si>
  <si>
    <t>Total on-board</t>
  </si>
  <si>
    <t>LON</t>
  </si>
  <si>
    <t>NYC</t>
  </si>
  <si>
    <t>freight (kg)</t>
  </si>
  <si>
    <t xml:space="preserve">Passenger </t>
  </si>
  <si>
    <t>Mail</t>
  </si>
  <si>
    <t>(number)</t>
  </si>
  <si>
    <t>To</t>
  </si>
  <si>
    <t>ABJ</t>
  </si>
  <si>
    <t>PAR</t>
  </si>
  <si>
    <t>ALG</t>
  </si>
  <si>
    <t>BZV</t>
  </si>
  <si>
    <t>City-pair</t>
  </si>
  <si>
    <t>Aircraft type</t>
  </si>
  <si>
    <t>Avg. seats</t>
  </si>
  <si>
    <t>Total revenue payload</t>
  </si>
  <si>
    <t>Passenger load factor</t>
  </si>
  <si>
    <t>Weight load factor</t>
  </si>
  <si>
    <t>ABJ-PAR</t>
  </si>
  <si>
    <t>ALG-PAR</t>
  </si>
  <si>
    <t>PAR-BZV</t>
  </si>
  <si>
    <t>772 = Boeing 777-200 /264 seats/ capacity 38t</t>
  </si>
  <si>
    <t>319 = Airbus 319 / 133 seats/ capacity 13t</t>
  </si>
  <si>
    <t>332 = Airbus 330-200 / 219 seats/ capacity 32t</t>
  </si>
  <si>
    <t>freight (t)</t>
  </si>
  <si>
    <t>domestic</t>
  </si>
  <si>
    <t>international</t>
  </si>
  <si>
    <t>BOM</t>
  </si>
  <si>
    <t>DEL</t>
  </si>
  <si>
    <t>Boeing 777 200</t>
  </si>
  <si>
    <t>AUH</t>
  </si>
  <si>
    <t>Airbus A300 C4</t>
  </si>
  <si>
    <t>Problem 5</t>
  </si>
  <si>
    <t>Problem 11</t>
  </si>
  <si>
    <t>Stage length</t>
  </si>
  <si>
    <t>passengers</t>
  </si>
  <si>
    <t>ALL SERVICES</t>
  </si>
  <si>
    <t>ALL-FREIGHT</t>
  </si>
  <si>
    <t>Excercice 1 results (+ need to add the data from the additional flight --&gt; DEL- AUH by A300 all-freight)</t>
  </si>
  <si>
    <t>Problem 3</t>
  </si>
  <si>
    <t>calculated from form B</t>
  </si>
  <si>
    <t>Table to produce for validation</t>
  </si>
  <si>
    <t>Suggested corrections</t>
  </si>
  <si>
    <r>
      <t xml:space="preserve">ICAO Aviation Data Analysis Seminar
</t>
    </r>
    <r>
      <rPr>
        <sz val="18"/>
        <color theme="0"/>
        <rFont val="Calibri"/>
        <family val="2"/>
        <scheme val="minor"/>
      </rPr>
      <t xml:space="preserve">Middle East (MID) Regional Office </t>
    </r>
    <r>
      <rPr>
        <sz val="20"/>
        <color theme="0"/>
        <rFont val="Calibri"/>
        <family val="2"/>
        <scheme val="minor"/>
      </rPr>
      <t xml:space="preserve">
</t>
    </r>
    <r>
      <rPr>
        <i/>
        <sz val="16"/>
        <color theme="0"/>
        <rFont val="Calibri"/>
        <family val="2"/>
        <scheme val="minor"/>
      </rPr>
      <t>27 - 29 October 2014</t>
    </r>
  </si>
  <si>
    <t>Solutions to Exercises</t>
  </si>
  <si>
    <t>Traffic by Flight Stage (form C data)</t>
  </si>
  <si>
    <t>Information available</t>
  </si>
  <si>
    <t>Form C</t>
  </si>
  <si>
    <t>Aircraft characteristics</t>
  </si>
  <si>
    <t>Validation</t>
  </si>
  <si>
    <t>Note:</t>
  </si>
  <si>
    <t>Avg. payload capacity</t>
  </si>
  <si>
    <t>inconsistent values are identified by a red font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</si>
  <si>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The number of seats reported for the A330-200 is not consistent --&gt; we can correct it with the information available for this aircraft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</si>
  <si>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The average payload capacity reported for the A319 is not consistent --&gt; we can correct it with the information available for this aircraft</t>
    </r>
  </si>
  <si>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B777-200: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 weight LF exceed 100% --&gt; the revenue payload issue checked before might have solved the issue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</si>
  <si>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A330-200: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 passenger LF exceed 100% --&gt; the average seats issue checked before might have solved the issue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</si>
  <si>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A319: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 weight LF exceed 100% --&gt; the payload capacity issue checked before might have solved the issue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</si>
  <si>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The total revenue payload exceed the total payload capacity. The capacity is OK (characteristic of the aircraft)
       --&gt; the issue issue is due to the freight and mail tonnes traffic that are maybe reported in kg</t>
    </r>
  </si>
  <si>
    <t>List of issues and suggested correction</t>
  </si>
  <si>
    <t>given by exercice 1</t>
  </si>
  <si>
    <t>given  by exercice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</si>
</sst>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7" formatCode="General_)"/>
    <numFmt numFmtId="169" formatCode="0_)"/>
    <numFmt numFmtId="170" formatCode="_-* #,##0.0_-;\-* #,##0.0_-;_-* &quot;-&quot;??_-;_-@_-"/>
    <numFmt numFmtId="171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1"/>
      <color theme="1"/>
      <name val="times new roman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9" fontId="5" fillId="7" borderId="0"/>
    <xf numFmtId="169" fontId="5" fillId="5" borderId="0"/>
    <xf numFmtId="164" fontId="12" fillId="0" borderId="0" applyFont="0" applyFill="0" applyBorder="0" applyAlignment="0" applyProtection="0"/>
    <xf numFmtId="0" fontId="29" fillId="0" borderId="0"/>
  </cellStyleXfs>
  <cellXfs count="15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0" borderId="0" xfId="0" applyFont="1"/>
    <xf numFmtId="0" fontId="0" fillId="0" borderId="11" xfId="0" applyFont="1" applyBorder="1" applyAlignment="1">
      <alignment horizontal="center"/>
    </xf>
    <xf numFmtId="0" fontId="9" fillId="0" borderId="0" xfId="0" applyFont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0" borderId="11" xfId="0" applyFont="1" applyBorder="1"/>
    <xf numFmtId="0" fontId="1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right" vertical="top" wrapText="1"/>
    </xf>
    <xf numFmtId="0" fontId="1" fillId="4" borderId="11" xfId="0" applyFont="1" applyFill="1" applyBorder="1" applyAlignment="1">
      <alignment horizontal="right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right" vertical="top" wrapText="1"/>
    </xf>
    <xf numFmtId="171" fontId="11" fillId="0" borderId="11" xfId="3" applyNumberFormat="1" applyFont="1" applyBorder="1" applyAlignment="1">
      <alignment horizontal="right" vertical="top" wrapText="1"/>
    </xf>
    <xf numFmtId="171" fontId="11" fillId="0" borderId="11" xfId="3" applyNumberFormat="1" applyFont="1" applyBorder="1"/>
    <xf numFmtId="0" fontId="1" fillId="0" borderId="8" xfId="0" applyFont="1" applyBorder="1" applyAlignment="1">
      <alignment horizontal="center" vertical="top" wrapText="1"/>
    </xf>
    <xf numFmtId="171" fontId="11" fillId="0" borderId="10" xfId="3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171" fontId="11" fillId="0" borderId="0" xfId="3" applyNumberFormat="1" applyFont="1" applyBorder="1" applyAlignment="1">
      <alignment horizontal="right" vertical="top" wrapText="1"/>
    </xf>
    <xf numFmtId="171" fontId="11" fillId="0" borderId="7" xfId="3" applyNumberFormat="1" applyFont="1" applyBorder="1" applyAlignment="1">
      <alignment horizontal="right" vertical="top" wrapText="1"/>
    </xf>
    <xf numFmtId="167" fontId="15" fillId="0" borderId="11" xfId="0" applyNumberFormat="1" applyFont="1" applyBorder="1" applyAlignment="1" applyProtection="1">
      <alignment horizontal="centerContinuous"/>
    </xf>
    <xf numFmtId="167" fontId="15" fillId="0" borderId="11" xfId="0" applyNumberFormat="1" applyFont="1" applyBorder="1" applyAlignment="1" applyProtection="1">
      <alignment horizontal="center"/>
    </xf>
    <xf numFmtId="165" fontId="11" fillId="0" borderId="11" xfId="0" applyNumberFormat="1" applyFont="1" applyBorder="1" applyAlignment="1">
      <alignment horizontal="right" vertical="top" wrapText="1"/>
    </xf>
    <xf numFmtId="171" fontId="11" fillId="4" borderId="11" xfId="3" applyNumberFormat="1" applyFont="1" applyFill="1" applyBorder="1" applyAlignment="1">
      <alignment horizontal="right" vertical="top" wrapText="1"/>
    </xf>
    <xf numFmtId="167" fontId="14" fillId="3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 wrapText="1"/>
    </xf>
    <xf numFmtId="170" fontId="11" fillId="0" borderId="11" xfId="3" applyNumberFormat="1" applyFont="1" applyBorder="1" applyAlignment="1">
      <alignment horizontal="right" vertical="top" wrapText="1"/>
    </xf>
    <xf numFmtId="171" fontId="0" fillId="0" borderId="4" xfId="3" applyNumberFormat="1" applyFont="1" applyBorder="1"/>
    <xf numFmtId="171" fontId="11" fillId="0" borderId="16" xfId="3" applyNumberFormat="1" applyFont="1" applyBorder="1" applyAlignment="1">
      <alignment horizontal="right" vertical="top" wrapText="1"/>
    </xf>
    <xf numFmtId="171" fontId="11" fillId="0" borderId="17" xfId="3" applyNumberFormat="1" applyFont="1" applyBorder="1"/>
    <xf numFmtId="171" fontId="11" fillId="0" borderId="17" xfId="3" applyNumberFormat="1" applyFont="1" applyBorder="1" applyAlignment="1">
      <alignment horizontal="right" vertical="top" wrapText="1"/>
    </xf>
    <xf numFmtId="171" fontId="11" fillId="0" borderId="18" xfId="3" applyNumberFormat="1" applyFont="1" applyBorder="1" applyAlignment="1">
      <alignment horizontal="right" vertical="top" wrapText="1"/>
    </xf>
    <xf numFmtId="171" fontId="11" fillId="4" borderId="16" xfId="3" applyNumberFormat="1" applyFont="1" applyFill="1" applyBorder="1" applyAlignment="1">
      <alignment horizontal="right" vertical="top" wrapText="1"/>
    </xf>
    <xf numFmtId="171" fontId="0" fillId="0" borderId="11" xfId="3" applyNumberFormat="1" applyFont="1" applyBorder="1" applyAlignment="1">
      <alignment horizontal="center"/>
    </xf>
    <xf numFmtId="171" fontId="0" fillId="0" borderId="0" xfId="0" applyNumberFormat="1" applyFont="1"/>
    <xf numFmtId="164" fontId="0" fillId="0" borderId="0" xfId="0" applyNumberFormat="1" applyFont="1"/>
    <xf numFmtId="0" fontId="17" fillId="0" borderId="0" xfId="0" applyFont="1" applyFill="1" applyAlignment="1">
      <alignment horizontal="center"/>
    </xf>
    <xf numFmtId="167" fontId="14" fillId="3" borderId="20" xfId="0" applyNumberFormat="1" applyFont="1" applyFill="1" applyBorder="1" applyAlignment="1" applyProtection="1">
      <alignment horizontal="center" vertical="center"/>
    </xf>
    <xf numFmtId="0" fontId="0" fillId="11" borderId="0" xfId="0" applyFont="1" applyFill="1"/>
    <xf numFmtId="167" fontId="14" fillId="11" borderId="20" xfId="0" applyNumberFormat="1" applyFont="1" applyFill="1" applyBorder="1" applyAlignment="1" applyProtection="1">
      <alignment horizontal="center" vertical="center"/>
    </xf>
    <xf numFmtId="0" fontId="0" fillId="12" borderId="0" xfId="0" applyFont="1" applyFill="1"/>
    <xf numFmtId="0" fontId="0" fillId="13" borderId="0" xfId="0" applyFont="1" applyFill="1"/>
    <xf numFmtId="0" fontId="9" fillId="13" borderId="0" xfId="0" applyFont="1" applyFill="1"/>
    <xf numFmtId="0" fontId="8" fillId="13" borderId="0" xfId="0" applyFont="1" applyFill="1"/>
    <xf numFmtId="0" fontId="0" fillId="0" borderId="20" xfId="0" applyFont="1" applyBorder="1"/>
    <xf numFmtId="0" fontId="0" fillId="0" borderId="3" xfId="0" applyFont="1" applyBorder="1"/>
    <xf numFmtId="171" fontId="0" fillId="0" borderId="1" xfId="3" applyNumberFormat="1" applyFont="1" applyBorder="1"/>
    <xf numFmtId="171" fontId="11" fillId="0" borderId="3" xfId="3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171" fontId="11" fillId="0" borderId="22" xfId="3" applyNumberFormat="1" applyFont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167" fontId="11" fillId="3" borderId="3" xfId="0" applyNumberFormat="1" applyFont="1" applyFill="1" applyBorder="1" applyAlignment="1" applyProtection="1">
      <alignment horizontal="center" vertical="center"/>
    </xf>
    <xf numFmtId="167" fontId="14" fillId="3" borderId="3" xfId="0" applyNumberFormat="1" applyFont="1" applyFill="1" applyBorder="1" applyAlignment="1" applyProtection="1">
      <alignment horizontal="center" vertical="center"/>
    </xf>
    <xf numFmtId="167" fontId="14" fillId="0" borderId="22" xfId="0" applyNumberFormat="1" applyFont="1" applyBorder="1" applyAlignment="1" applyProtection="1">
      <alignment horizontal="center"/>
      <protection locked="0"/>
    </xf>
    <xf numFmtId="167" fontId="14" fillId="0" borderId="22" xfId="0" applyNumberFormat="1" applyFont="1" applyBorder="1" applyProtection="1">
      <protection locked="0"/>
    </xf>
    <xf numFmtId="0" fontId="13" fillId="0" borderId="0" xfId="0" applyFont="1"/>
    <xf numFmtId="0" fontId="6" fillId="2" borderId="15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3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10" fillId="11" borderId="24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wrapText="1"/>
    </xf>
    <xf numFmtId="0" fontId="22" fillId="0" borderId="0" xfId="0" applyFont="1"/>
    <xf numFmtId="167" fontId="14" fillId="0" borderId="0" xfId="0" applyNumberFormat="1" applyFont="1" applyBorder="1" applyAlignment="1" applyProtection="1">
      <alignment horizontal="center"/>
      <protection locked="0"/>
    </xf>
    <xf numFmtId="167" fontId="14" fillId="0" borderId="0" xfId="0" applyNumberFormat="1" applyFont="1" applyBorder="1" applyProtection="1">
      <protection locked="0"/>
    </xf>
    <xf numFmtId="167" fontId="11" fillId="11" borderId="3" xfId="0" applyNumberFormat="1" applyFont="1" applyFill="1" applyBorder="1" applyAlignment="1" applyProtection="1">
      <alignment horizontal="center" vertical="center"/>
    </xf>
    <xf numFmtId="167" fontId="14" fillId="11" borderId="3" xfId="0" applyNumberFormat="1" applyFont="1" applyFill="1" applyBorder="1" applyAlignment="1" applyProtection="1">
      <alignment horizontal="center" vertical="center"/>
    </xf>
    <xf numFmtId="167" fontId="14" fillId="11" borderId="10" xfId="0" applyNumberFormat="1" applyFont="1" applyFill="1" applyBorder="1" applyAlignment="1" applyProtection="1">
      <alignment horizontal="center" vertical="center"/>
    </xf>
    <xf numFmtId="0" fontId="11" fillId="11" borderId="0" xfId="0" applyFont="1" applyFill="1"/>
    <xf numFmtId="0" fontId="24" fillId="0" borderId="0" xfId="0" applyFont="1"/>
    <xf numFmtId="0" fontId="25" fillId="0" borderId="0" xfId="0" applyFont="1"/>
    <xf numFmtId="0" fontId="11" fillId="11" borderId="2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3" fontId="0" fillId="0" borderId="25" xfId="3" applyNumberFormat="1" applyFont="1" applyBorder="1" applyAlignment="1">
      <alignment horizontal="center"/>
    </xf>
    <xf numFmtId="3" fontId="11" fillId="0" borderId="25" xfId="3" applyNumberFormat="1" applyFont="1" applyBorder="1" applyAlignment="1">
      <alignment horizontal="center" vertical="center" wrapText="1"/>
    </xf>
    <xf numFmtId="3" fontId="7" fillId="0" borderId="25" xfId="3" applyNumberFormat="1" applyFont="1" applyBorder="1" applyAlignment="1">
      <alignment horizontal="center" vertical="center"/>
    </xf>
    <xf numFmtId="3" fontId="16" fillId="0" borderId="25" xfId="3" applyNumberFormat="1" applyFont="1" applyBorder="1" applyAlignment="1">
      <alignment horizontal="center" vertical="center" wrapText="1"/>
    </xf>
    <xf numFmtId="3" fontId="0" fillId="0" borderId="25" xfId="3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171" fontId="27" fillId="0" borderId="11" xfId="3" applyNumberFormat="1" applyFont="1" applyBorder="1" applyAlignment="1">
      <alignment horizontal="center"/>
    </xf>
    <xf numFmtId="3" fontId="28" fillId="0" borderId="25" xfId="3" applyNumberFormat="1" applyFont="1" applyBorder="1" applyAlignment="1">
      <alignment horizontal="center" vertical="center" wrapText="1"/>
    </xf>
    <xf numFmtId="3" fontId="27" fillId="0" borderId="25" xfId="3" applyNumberFormat="1" applyFont="1" applyBorder="1" applyAlignment="1">
      <alignment horizontal="center" vertical="center"/>
    </xf>
    <xf numFmtId="0" fontId="26" fillId="0" borderId="0" xfId="0" applyFont="1"/>
    <xf numFmtId="0" fontId="0" fillId="14" borderId="0" xfId="0" applyFill="1"/>
    <xf numFmtId="0" fontId="0" fillId="15" borderId="0" xfId="0" applyFill="1"/>
    <xf numFmtId="0" fontId="2" fillId="6" borderId="25" xfId="0" applyFont="1" applyFill="1" applyBorder="1" applyAlignment="1">
      <alignment horizontal="center" wrapText="1"/>
    </xf>
    <xf numFmtId="0" fontId="4" fillId="14" borderId="25" xfId="0" applyFont="1" applyFill="1" applyBorder="1" applyAlignment="1">
      <alignment horizontal="center" vertical="top" wrapText="1"/>
    </xf>
    <xf numFmtId="0" fontId="4" fillId="10" borderId="25" xfId="0" applyFont="1" applyFill="1" applyBorder="1" applyAlignment="1">
      <alignment horizontal="center" vertical="top" wrapText="1"/>
    </xf>
    <xf numFmtId="0" fontId="4" fillId="15" borderId="10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6" borderId="26" xfId="0" applyFont="1" applyFill="1" applyBorder="1" applyAlignment="1">
      <alignment horizontal="center" wrapText="1"/>
    </xf>
    <xf numFmtId="0" fontId="4" fillId="15" borderId="9" xfId="0" applyFont="1" applyFill="1" applyBorder="1" applyAlignment="1">
      <alignment horizontal="center" vertical="top" wrapText="1"/>
    </xf>
    <xf numFmtId="0" fontId="4" fillId="14" borderId="13" xfId="0" applyFont="1" applyFill="1" applyBorder="1" applyAlignment="1">
      <alignment horizontal="center" vertical="top" wrapText="1"/>
    </xf>
    <xf numFmtId="0" fontId="4" fillId="10" borderId="13" xfId="0" applyFont="1" applyFill="1" applyBorder="1" applyAlignment="1">
      <alignment horizontal="center" vertical="top" wrapText="1"/>
    </xf>
    <xf numFmtId="0" fontId="4" fillId="0" borderId="28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7" fillId="8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wrapText="1"/>
    </xf>
    <xf numFmtId="0" fontId="10" fillId="11" borderId="6" xfId="0" applyFont="1" applyFill="1" applyBorder="1" applyAlignment="1">
      <alignment horizontal="center" wrapText="1"/>
    </xf>
    <xf numFmtId="0" fontId="10" fillId="11" borderId="25" xfId="0" applyFont="1" applyFill="1" applyBorder="1" applyAlignment="1">
      <alignment horizontal="center" wrapText="1"/>
    </xf>
    <xf numFmtId="0" fontId="0" fillId="0" borderId="25" xfId="0" applyFont="1" applyBorder="1" applyAlignment="1">
      <alignment horizontal="center"/>
    </xf>
    <xf numFmtId="0" fontId="6" fillId="11" borderId="25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167" fontId="14" fillId="3" borderId="11" xfId="0" applyNumberFormat="1" applyFont="1" applyFill="1" applyBorder="1" applyAlignment="1" applyProtection="1">
      <alignment horizontal="center" vertical="center"/>
    </xf>
    <xf numFmtId="167" fontId="14" fillId="3" borderId="11" xfId="0" applyNumberFormat="1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167" fontId="14" fillId="3" borderId="5" xfId="0" applyNumberFormat="1" applyFont="1" applyFill="1" applyBorder="1" applyAlignment="1" applyProtection="1">
      <alignment horizontal="center" vertical="center"/>
    </xf>
    <xf numFmtId="167" fontId="14" fillId="3" borderId="1" xfId="0" applyNumberFormat="1" applyFont="1" applyFill="1" applyBorder="1" applyAlignment="1" applyProtection="1">
      <alignment horizontal="center" vertical="center"/>
    </xf>
    <xf numFmtId="167" fontId="14" fillId="3" borderId="23" xfId="0" applyNumberFormat="1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 applyProtection="1">
      <alignment horizontal="center" vertical="center"/>
    </xf>
    <xf numFmtId="167" fontId="14" fillId="3" borderId="20" xfId="0" applyNumberFormat="1" applyFont="1" applyFill="1" applyBorder="1" applyAlignment="1" applyProtection="1">
      <alignment horizontal="center" vertical="center"/>
    </xf>
    <xf numFmtId="167" fontId="14" fillId="3" borderId="10" xfId="0" applyNumberFormat="1" applyFont="1" applyFill="1" applyBorder="1" applyAlignment="1" applyProtection="1">
      <alignment horizontal="center" vertical="center"/>
    </xf>
    <xf numFmtId="167" fontId="14" fillId="11" borderId="11" xfId="0" applyNumberFormat="1" applyFont="1" applyFill="1" applyBorder="1" applyAlignment="1" applyProtection="1">
      <alignment horizontal="center" vertical="center"/>
    </xf>
    <xf numFmtId="167" fontId="14" fillId="11" borderId="11" xfId="0" applyNumberFormat="1" applyFont="1" applyFill="1" applyBorder="1" applyAlignment="1" applyProtection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167" fontId="14" fillId="11" borderId="5" xfId="0" applyNumberFormat="1" applyFont="1" applyFill="1" applyBorder="1" applyAlignment="1" applyProtection="1">
      <alignment horizontal="center" vertical="center"/>
    </xf>
    <xf numFmtId="167" fontId="14" fillId="11" borderId="1" xfId="0" applyNumberFormat="1" applyFont="1" applyFill="1" applyBorder="1" applyAlignment="1" applyProtection="1">
      <alignment horizontal="center" vertical="center"/>
    </xf>
    <xf numFmtId="167" fontId="14" fillId="11" borderId="23" xfId="0" applyNumberFormat="1" applyFont="1" applyFill="1" applyBorder="1" applyAlignment="1" applyProtection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167" fontId="14" fillId="11" borderId="3" xfId="0" applyNumberFormat="1" applyFont="1" applyFill="1" applyBorder="1" applyAlignment="1" applyProtection="1">
      <alignment horizontal="center" vertical="center"/>
    </xf>
    <xf numFmtId="167" fontId="14" fillId="11" borderId="20" xfId="0" applyNumberFormat="1" applyFont="1" applyFill="1" applyBorder="1" applyAlignment="1" applyProtection="1">
      <alignment horizontal="center" vertical="center"/>
    </xf>
    <xf numFmtId="167" fontId="14" fillId="11" borderId="10" xfId="0" applyNumberFormat="1" applyFont="1" applyFill="1" applyBorder="1" applyAlignment="1" applyProtection="1">
      <alignment horizontal="center" vertical="center"/>
    </xf>
    <xf numFmtId="0" fontId="9" fillId="9" borderId="0" xfId="0" applyFont="1" applyFill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</cellXfs>
  <cellStyles count="5">
    <cellStyle name="Comma" xfId="3" builtinId="3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17</xdr:row>
      <xdr:rowOff>171450</xdr:rowOff>
    </xdr:from>
    <xdr:to>
      <xdr:col>11</xdr:col>
      <xdr:colOff>304800</xdr:colOff>
      <xdr:row>20</xdr:row>
      <xdr:rowOff>133350</xdr:rowOff>
    </xdr:to>
    <xdr:sp macro="" textlink="">
      <xdr:nvSpPr>
        <xdr:cNvPr id="2" name="Right Arrow 1"/>
        <xdr:cNvSpPr/>
      </xdr:nvSpPr>
      <xdr:spPr>
        <a:xfrm>
          <a:off x="7677150" y="2676525"/>
          <a:ext cx="838200" cy="676275"/>
        </a:xfrm>
        <a:prstGeom prst="rightArrow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382906</xdr:colOff>
      <xdr:row>14</xdr:row>
      <xdr:rowOff>19050</xdr:rowOff>
    </xdr:from>
    <xdr:to>
      <xdr:col>11</xdr:col>
      <xdr:colOff>590550</xdr:colOff>
      <xdr:row>24</xdr:row>
      <xdr:rowOff>9525</xdr:rowOff>
    </xdr:to>
    <xdr:sp macro="" textlink="">
      <xdr:nvSpPr>
        <xdr:cNvPr id="3" name="Left Brace 2"/>
        <xdr:cNvSpPr/>
      </xdr:nvSpPr>
      <xdr:spPr>
        <a:xfrm>
          <a:off x="8593456" y="1943100"/>
          <a:ext cx="207644" cy="2085975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354331</xdr:colOff>
      <xdr:row>9</xdr:row>
      <xdr:rowOff>9525</xdr:rowOff>
    </xdr:from>
    <xdr:to>
      <xdr:col>11</xdr:col>
      <xdr:colOff>561975</xdr:colOff>
      <xdr:row>12</xdr:row>
      <xdr:rowOff>14025</xdr:rowOff>
    </xdr:to>
    <xdr:sp macro="" textlink="">
      <xdr:nvSpPr>
        <xdr:cNvPr id="4" name="Left Brace 3"/>
        <xdr:cNvSpPr/>
      </xdr:nvSpPr>
      <xdr:spPr>
        <a:xfrm>
          <a:off x="8564881" y="981075"/>
          <a:ext cx="207644" cy="576000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95250</xdr:colOff>
      <xdr:row>12</xdr:row>
      <xdr:rowOff>76199</xdr:rowOff>
    </xdr:from>
    <xdr:to>
      <xdr:col>11</xdr:col>
      <xdr:colOff>304800</xdr:colOff>
      <xdr:row>14</xdr:row>
      <xdr:rowOff>66674</xdr:rowOff>
    </xdr:to>
    <xdr:sp macro="" textlink="">
      <xdr:nvSpPr>
        <xdr:cNvPr id="5" name="Right Arrow 4"/>
        <xdr:cNvSpPr/>
      </xdr:nvSpPr>
      <xdr:spPr>
        <a:xfrm>
          <a:off x="5438775" y="2381249"/>
          <a:ext cx="3781425" cy="371475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11</xdr:col>
      <xdr:colOff>363856</xdr:colOff>
      <xdr:row>12</xdr:row>
      <xdr:rowOff>19050</xdr:rowOff>
    </xdr:from>
    <xdr:to>
      <xdr:col>12</xdr:col>
      <xdr:colOff>0</xdr:colOff>
      <xdr:row>14</xdr:row>
      <xdr:rowOff>9525</xdr:rowOff>
    </xdr:to>
    <xdr:sp macro="" textlink="">
      <xdr:nvSpPr>
        <xdr:cNvPr id="6" name="Left Brace 5"/>
        <xdr:cNvSpPr/>
      </xdr:nvSpPr>
      <xdr:spPr>
        <a:xfrm>
          <a:off x="8574406" y="1562100"/>
          <a:ext cx="245744" cy="371475"/>
        </a:xfrm>
        <a:prstGeom prst="leftBrace">
          <a:avLst/>
        </a:prstGeom>
        <a:ln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31</xdr:row>
      <xdr:rowOff>19050</xdr:rowOff>
    </xdr:from>
    <xdr:to>
      <xdr:col>6</xdr:col>
      <xdr:colOff>523875</xdr:colOff>
      <xdr:row>32</xdr:row>
      <xdr:rowOff>447675</xdr:rowOff>
    </xdr:to>
    <xdr:sp macro="" textlink="">
      <xdr:nvSpPr>
        <xdr:cNvPr id="2" name="Right Arrow 1"/>
        <xdr:cNvSpPr/>
      </xdr:nvSpPr>
      <xdr:spPr>
        <a:xfrm>
          <a:off x="1362075" y="3486150"/>
          <a:ext cx="1704975" cy="495300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4"/>
  <sheetViews>
    <sheetView tabSelected="1" workbookViewId="0">
      <selection activeCell="C9" sqref="C9"/>
    </sheetView>
  </sheetViews>
  <sheetFormatPr defaultRowHeight="15" x14ac:dyDescent="0.25"/>
  <cols>
    <col min="1" max="2" width="11.28515625" customWidth="1"/>
    <col min="3" max="3" width="13.28515625" bestFit="1" customWidth="1"/>
    <col min="4" max="4" width="10.42578125" customWidth="1"/>
    <col min="5" max="5" width="9.5703125" bestFit="1" customWidth="1"/>
    <col min="9" max="9" width="7.85546875" customWidth="1"/>
    <col min="13" max="13" width="29.140625" bestFit="1" customWidth="1"/>
    <col min="14" max="14" width="6.7109375" style="2" bestFit="1" customWidth="1"/>
    <col min="15" max="15" width="12.5703125" bestFit="1" customWidth="1"/>
    <col min="16" max="16" width="9.28515625" bestFit="1" customWidth="1"/>
    <col min="17" max="17" width="12.5703125" bestFit="1" customWidth="1"/>
    <col min="18" max="18" width="9.28515625" bestFit="1" customWidth="1"/>
  </cols>
  <sheetData>
    <row r="1" spans="1:18" ht="91.5" customHeight="1" x14ac:dyDescent="0.25">
      <c r="A1" s="114" t="s">
        <v>101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ht="26.25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8" ht="23.25" x14ac:dyDescent="0.35">
      <c r="A3" s="116" t="s">
        <v>102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6" spans="1:18" ht="28.5" x14ac:dyDescent="0.45">
      <c r="A6" s="115" t="s">
        <v>97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ht="18.75" x14ac:dyDescent="0.3">
      <c r="M7" s="7"/>
    </row>
    <row r="8" spans="1:18" ht="24" customHeight="1" x14ac:dyDescent="0.25">
      <c r="O8" s="123" t="s">
        <v>94</v>
      </c>
      <c r="P8" s="123"/>
      <c r="Q8" s="123" t="s">
        <v>95</v>
      </c>
      <c r="R8" s="123"/>
    </row>
    <row r="9" spans="1:18" x14ac:dyDescent="0.25">
      <c r="C9" s="8"/>
      <c r="D9" s="9"/>
      <c r="E9" s="9"/>
      <c r="F9" s="9"/>
      <c r="M9" s="68" t="s">
        <v>17</v>
      </c>
      <c r="N9" s="68" t="s">
        <v>18</v>
      </c>
      <c r="O9" s="68" t="s">
        <v>19</v>
      </c>
      <c r="P9" s="68" t="s">
        <v>20</v>
      </c>
      <c r="Q9" s="68" t="s">
        <v>19</v>
      </c>
      <c r="R9" s="68" t="s">
        <v>20</v>
      </c>
    </row>
    <row r="10" spans="1:18" x14ac:dyDescent="0.25">
      <c r="A10" s="73" t="s">
        <v>96</v>
      </c>
      <c r="B10" s="74"/>
      <c r="C10" s="75"/>
      <c r="D10" s="75"/>
      <c r="E10" s="75"/>
      <c r="F10" s="75"/>
      <c r="G10" s="74"/>
      <c r="H10" s="74"/>
      <c r="I10" s="74"/>
      <c r="J10" s="74"/>
      <c r="M10" s="31" t="s">
        <v>21</v>
      </c>
      <c r="N10" s="32" t="s">
        <v>36</v>
      </c>
      <c r="O10" s="21">
        <f>+D22*I22+D23*I23+D24*I24</f>
        <v>14600</v>
      </c>
      <c r="P10" s="21">
        <f>+D21*I21</f>
        <v>1100</v>
      </c>
      <c r="Q10" s="21">
        <f>+I24</f>
        <v>2400</v>
      </c>
      <c r="R10" s="22"/>
    </row>
    <row r="11" spans="1:18" x14ac:dyDescent="0.25">
      <c r="A11" s="122" t="s">
        <v>98</v>
      </c>
      <c r="B11" s="122"/>
      <c r="C11" s="69" t="s">
        <v>93</v>
      </c>
      <c r="D11" s="70" t="s">
        <v>61</v>
      </c>
      <c r="E11" s="70" t="s">
        <v>82</v>
      </c>
      <c r="F11" s="3"/>
      <c r="M11" s="12" t="s">
        <v>22</v>
      </c>
      <c r="N11" s="13" t="s">
        <v>36</v>
      </c>
      <c r="O11" s="18">
        <f>+D22+D23+D24</f>
        <v>3</v>
      </c>
      <c r="P11" s="18">
        <f>+D21</f>
        <v>1</v>
      </c>
      <c r="Q11" s="18">
        <f>+D24</f>
        <v>1</v>
      </c>
      <c r="R11" s="14"/>
    </row>
    <row r="12" spans="1:18" x14ac:dyDescent="0.25">
      <c r="A12" s="121" t="s">
        <v>83</v>
      </c>
      <c r="B12" s="121"/>
      <c r="C12" s="51">
        <v>240</v>
      </c>
      <c r="D12" s="34">
        <v>7500</v>
      </c>
      <c r="E12" s="52">
        <v>7.5</v>
      </c>
      <c r="F12" s="3"/>
      <c r="M12" s="12" t="s">
        <v>23</v>
      </c>
      <c r="N12" s="13" t="s">
        <v>36</v>
      </c>
      <c r="O12" s="33">
        <f>+D22*J22+D23*J23+D24*J24</f>
        <v>21.5</v>
      </c>
      <c r="P12" s="33">
        <f>+D21*J21</f>
        <v>2</v>
      </c>
      <c r="Q12" s="33">
        <f>+J24</f>
        <v>4</v>
      </c>
      <c r="R12" s="14"/>
    </row>
    <row r="13" spans="1:18" x14ac:dyDescent="0.25">
      <c r="A13" s="121" t="s">
        <v>84</v>
      </c>
      <c r="B13" s="121"/>
      <c r="C13" s="51">
        <v>370</v>
      </c>
      <c r="D13" s="34">
        <v>16500</v>
      </c>
      <c r="E13" s="10">
        <v>16.5</v>
      </c>
      <c r="M13" s="12" t="s">
        <v>24</v>
      </c>
      <c r="N13" s="13" t="s">
        <v>36</v>
      </c>
      <c r="O13" s="18">
        <v>370</v>
      </c>
      <c r="P13" s="18">
        <f>+D21*G21</f>
        <v>240</v>
      </c>
      <c r="Q13" s="28"/>
      <c r="R13" s="15"/>
    </row>
    <row r="14" spans="1:18" x14ac:dyDescent="0.25">
      <c r="A14" s="121" t="s">
        <v>0</v>
      </c>
      <c r="B14" s="121"/>
      <c r="C14" s="11">
        <v>610</v>
      </c>
      <c r="D14" s="53">
        <v>24000</v>
      </c>
      <c r="E14" s="11">
        <v>24</v>
      </c>
      <c r="M14" s="12" t="s">
        <v>25</v>
      </c>
      <c r="N14" s="13" t="s">
        <v>36</v>
      </c>
      <c r="O14" s="33">
        <f>+E13+Q14</f>
        <v>31.5</v>
      </c>
      <c r="P14" s="33">
        <v>7.5</v>
      </c>
      <c r="Q14" s="18">
        <f>+H24</f>
        <v>15</v>
      </c>
      <c r="R14" s="14"/>
    </row>
    <row r="15" spans="1:18" x14ac:dyDescent="0.25">
      <c r="M15" s="12" t="s">
        <v>26</v>
      </c>
      <c r="N15" s="13" t="s">
        <v>36</v>
      </c>
      <c r="O15" s="18">
        <f>+D22*G22*I22+D23*G23*I23+D24*G24*I24</f>
        <v>3174500</v>
      </c>
      <c r="P15" s="18">
        <f>+D21*G21*I21</f>
        <v>264000</v>
      </c>
      <c r="Q15" s="28"/>
      <c r="R15" s="15"/>
    </row>
    <row r="16" spans="1:18" x14ac:dyDescent="0.25">
      <c r="A16" s="73" t="s">
        <v>103</v>
      </c>
      <c r="M16" s="12" t="s">
        <v>27</v>
      </c>
      <c r="N16" s="13" t="s">
        <v>36</v>
      </c>
      <c r="O16" s="19">
        <f>+D22*E22*I22+D23*E23*I23+D24*E24*I24</f>
        <v>3977200</v>
      </c>
      <c r="P16" s="18">
        <f>+D21*E21*I21</f>
        <v>358600</v>
      </c>
      <c r="Q16" s="28"/>
      <c r="R16" s="15"/>
    </row>
    <row r="17" spans="1:18" x14ac:dyDescent="0.25">
      <c r="A17" s="117" t="s">
        <v>1</v>
      </c>
      <c r="B17" s="117"/>
      <c r="C17" s="117" t="s">
        <v>2</v>
      </c>
      <c r="D17" s="117" t="s">
        <v>3</v>
      </c>
      <c r="E17" s="117" t="s">
        <v>4</v>
      </c>
      <c r="F17" s="117"/>
      <c r="G17" s="117" t="s">
        <v>5</v>
      </c>
      <c r="H17" s="117"/>
      <c r="I17" s="118" t="s">
        <v>92</v>
      </c>
      <c r="J17" s="118" t="s">
        <v>12</v>
      </c>
      <c r="M17" s="12" t="s">
        <v>28</v>
      </c>
      <c r="N17" s="13" t="s">
        <v>37</v>
      </c>
      <c r="O17" s="33">
        <f>ROUND(100* O15/O16,1)</f>
        <v>79.8</v>
      </c>
      <c r="P17" s="33">
        <f>ROUND(100* P15/P16,1)</f>
        <v>73.599999999999994</v>
      </c>
      <c r="Q17" s="28"/>
      <c r="R17" s="15"/>
    </row>
    <row r="18" spans="1:18" x14ac:dyDescent="0.25">
      <c r="A18" s="117"/>
      <c r="B18" s="117"/>
      <c r="C18" s="117"/>
      <c r="D18" s="117"/>
      <c r="E18" s="117"/>
      <c r="F18" s="117"/>
      <c r="G18" s="117"/>
      <c r="H18" s="117"/>
      <c r="I18" s="119"/>
      <c r="J18" s="119"/>
      <c r="M18" s="12" t="s">
        <v>29</v>
      </c>
      <c r="N18" s="13"/>
      <c r="O18" s="54"/>
      <c r="P18" s="54"/>
      <c r="Q18" s="54"/>
      <c r="R18" s="55"/>
    </row>
    <row r="19" spans="1:18" ht="15.75" customHeight="1" x14ac:dyDescent="0.25">
      <c r="A19" s="117" t="s">
        <v>6</v>
      </c>
      <c r="B19" s="117" t="s">
        <v>7</v>
      </c>
      <c r="C19" s="117"/>
      <c r="D19" s="117"/>
      <c r="E19" s="120" t="s">
        <v>8</v>
      </c>
      <c r="F19" s="76" t="s">
        <v>9</v>
      </c>
      <c r="G19" s="76" t="s">
        <v>10</v>
      </c>
      <c r="H19" s="76" t="s">
        <v>11</v>
      </c>
      <c r="I19" s="119"/>
      <c r="J19" s="119"/>
      <c r="M19" s="56" t="s">
        <v>30</v>
      </c>
      <c r="N19" s="57" t="s">
        <v>36</v>
      </c>
      <c r="O19" s="35">
        <f>+O15*0.1</f>
        <v>317450</v>
      </c>
      <c r="P19" s="58">
        <f>P15*0.1</f>
        <v>26400</v>
      </c>
      <c r="Q19" s="39"/>
      <c r="R19" s="59"/>
    </row>
    <row r="20" spans="1:18" x14ac:dyDescent="0.25">
      <c r="A20" s="117"/>
      <c r="B20" s="117"/>
      <c r="C20" s="117"/>
      <c r="D20" s="117"/>
      <c r="E20" s="120"/>
      <c r="F20" s="77" t="s">
        <v>13</v>
      </c>
      <c r="G20" s="77" t="s">
        <v>14</v>
      </c>
      <c r="H20" s="77" t="s">
        <v>13</v>
      </c>
      <c r="I20" s="77" t="s">
        <v>15</v>
      </c>
      <c r="J20" s="77" t="s">
        <v>16</v>
      </c>
      <c r="K20" s="30"/>
      <c r="L20" s="30"/>
      <c r="M20" s="60" t="s">
        <v>31</v>
      </c>
      <c r="N20" s="61" t="s">
        <v>36</v>
      </c>
      <c r="O20" s="36">
        <f>+D22*H22*I22+D23*H23*I23+D24*H24*I24</f>
        <v>190900</v>
      </c>
      <c r="P20" s="23">
        <f>D21*H21*I21</f>
        <v>8250</v>
      </c>
      <c r="Q20" s="37">
        <f>Q10*Q14</f>
        <v>36000</v>
      </c>
      <c r="R20" s="62"/>
    </row>
    <row r="21" spans="1:18" x14ac:dyDescent="0.25">
      <c r="A21" s="71" t="s">
        <v>85</v>
      </c>
      <c r="B21" s="71" t="s">
        <v>86</v>
      </c>
      <c r="C21" s="71" t="s">
        <v>87</v>
      </c>
      <c r="D21" s="71">
        <v>1</v>
      </c>
      <c r="E21" s="71">
        <v>326</v>
      </c>
      <c r="F21" s="71">
        <v>52</v>
      </c>
      <c r="G21" s="71">
        <v>240</v>
      </c>
      <c r="H21" s="71">
        <v>7.5</v>
      </c>
      <c r="I21" s="71">
        <v>1100</v>
      </c>
      <c r="J21" s="71">
        <v>2</v>
      </c>
      <c r="M21" s="60" t="s">
        <v>32</v>
      </c>
      <c r="N21" s="61" t="s">
        <v>36</v>
      </c>
      <c r="O21" s="37">
        <v>0</v>
      </c>
      <c r="P21" s="23">
        <v>0</v>
      </c>
      <c r="Q21" s="37">
        <v>0</v>
      </c>
      <c r="R21" s="62"/>
    </row>
    <row r="22" spans="1:18" x14ac:dyDescent="0.25">
      <c r="A22" s="71" t="s">
        <v>86</v>
      </c>
      <c r="B22" s="71" t="s">
        <v>59</v>
      </c>
      <c r="C22" s="71" t="s">
        <v>87</v>
      </c>
      <c r="D22" s="71">
        <v>1</v>
      </c>
      <c r="E22" s="71">
        <v>326</v>
      </c>
      <c r="F22" s="71">
        <v>52</v>
      </c>
      <c r="G22" s="71">
        <v>285</v>
      </c>
      <c r="H22" s="71">
        <v>14.5</v>
      </c>
      <c r="I22" s="71">
        <v>6700</v>
      </c>
      <c r="J22" s="71">
        <v>9.5</v>
      </c>
      <c r="M22" s="16" t="s">
        <v>33</v>
      </c>
      <c r="N22" s="20" t="s">
        <v>36</v>
      </c>
      <c r="O22" s="38">
        <f>+O21+O20+O19</f>
        <v>508350</v>
      </c>
      <c r="P22" s="24">
        <f>+P21+P20+P19</f>
        <v>34650</v>
      </c>
      <c r="Q22" s="38">
        <f>SUM(Q19:Q21)</f>
        <v>36000</v>
      </c>
      <c r="R22" s="17"/>
    </row>
    <row r="23" spans="1:18" x14ac:dyDescent="0.25">
      <c r="A23" s="71" t="s">
        <v>59</v>
      </c>
      <c r="B23" s="71" t="s">
        <v>60</v>
      </c>
      <c r="C23" s="71" t="s">
        <v>87</v>
      </c>
      <c r="D23" s="71">
        <v>1</v>
      </c>
      <c r="E23" s="71">
        <v>326</v>
      </c>
      <c r="F23" s="71">
        <v>52</v>
      </c>
      <c r="G23" s="71">
        <v>230</v>
      </c>
      <c r="H23" s="71">
        <v>10.5</v>
      </c>
      <c r="I23" s="71">
        <v>5500</v>
      </c>
      <c r="J23" s="71">
        <v>8</v>
      </c>
      <c r="M23" s="12" t="s">
        <v>34</v>
      </c>
      <c r="N23" s="13" t="s">
        <v>36</v>
      </c>
      <c r="O23" s="21">
        <f>+D22*F22*I22+D23*F23*I23+D24*F24*I24</f>
        <v>687200</v>
      </c>
      <c r="P23" s="21">
        <f>+D21*F21*I21</f>
        <v>57200</v>
      </c>
      <c r="Q23" s="21">
        <f>22*Q10</f>
        <v>52800</v>
      </c>
      <c r="R23" s="22"/>
    </row>
    <row r="24" spans="1:18" x14ac:dyDescent="0.25">
      <c r="A24" s="72" t="s">
        <v>86</v>
      </c>
      <c r="B24" s="72" t="s">
        <v>88</v>
      </c>
      <c r="C24" s="72" t="s">
        <v>89</v>
      </c>
      <c r="D24" s="72">
        <v>1</v>
      </c>
      <c r="E24" s="72">
        <v>0</v>
      </c>
      <c r="F24" s="72">
        <v>22</v>
      </c>
      <c r="G24" s="72">
        <v>0</v>
      </c>
      <c r="H24" s="72">
        <v>15</v>
      </c>
      <c r="I24" s="72">
        <v>2400</v>
      </c>
      <c r="J24" s="72">
        <v>4</v>
      </c>
      <c r="M24" s="12" t="s">
        <v>35</v>
      </c>
      <c r="N24" s="13" t="s">
        <v>37</v>
      </c>
      <c r="O24" s="33">
        <f>ROUND(100* O22/O23,1)</f>
        <v>74</v>
      </c>
      <c r="P24" s="33">
        <f>ROUND(100* P22/P23,1)</f>
        <v>60.6</v>
      </c>
      <c r="Q24" s="27">
        <f>ROUND(100* Q22/Q23,1)</f>
        <v>68.2</v>
      </c>
      <c r="R24" s="14"/>
    </row>
  </sheetData>
  <mergeCells count="19">
    <mergeCell ref="J17:J19"/>
    <mergeCell ref="A1:R1"/>
    <mergeCell ref="A3:R3"/>
    <mergeCell ref="E19:E20"/>
    <mergeCell ref="A12:B12"/>
    <mergeCell ref="A13:B13"/>
    <mergeCell ref="A14:B14"/>
    <mergeCell ref="A11:B11"/>
    <mergeCell ref="I17:I19"/>
    <mergeCell ref="A6:R6"/>
    <mergeCell ref="O8:P8"/>
    <mergeCell ref="Q8:R8"/>
    <mergeCell ref="A17:B18"/>
    <mergeCell ref="C17:C20"/>
    <mergeCell ref="D17:D20"/>
    <mergeCell ref="E17:F18"/>
    <mergeCell ref="G17:H18"/>
    <mergeCell ref="A19:A20"/>
    <mergeCell ref="B19:B20"/>
  </mergeCells>
  <pageMargins left="0.7" right="0.7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9"/>
  <sheetViews>
    <sheetView showGridLines="0" zoomScaleNormal="100" workbookViewId="0">
      <selection activeCell="B25" sqref="B25"/>
    </sheetView>
  </sheetViews>
  <sheetFormatPr defaultRowHeight="15" x14ac:dyDescent="0.25"/>
  <cols>
    <col min="1" max="1" width="7.7109375" style="4" customWidth="1"/>
    <col min="2" max="2" width="10.140625" style="4" customWidth="1"/>
    <col min="3" max="3" width="10.42578125" style="4" customWidth="1"/>
    <col min="4" max="4" width="7.7109375" style="4" customWidth="1"/>
    <col min="5" max="5" width="8.5703125" style="4" customWidth="1"/>
    <col min="6" max="6" width="9.28515625" style="4" customWidth="1"/>
    <col min="7" max="7" width="9.85546875" style="4" customWidth="1"/>
    <col min="8" max="8" width="9.42578125" style="4" customWidth="1"/>
    <col min="9" max="9" width="13.85546875" style="4" customWidth="1"/>
    <col min="10" max="10" width="8.28515625" style="4" customWidth="1"/>
    <col min="11" max="11" width="10.85546875" style="4" customWidth="1"/>
    <col min="12" max="12" width="13.28515625" style="4" bestFit="1" customWidth="1"/>
    <col min="13" max="13" width="11.7109375" style="4" customWidth="1"/>
    <col min="14" max="14" width="9.7109375" style="4" bestFit="1" customWidth="1"/>
    <col min="15" max="15" width="9.5703125" style="4" bestFit="1" customWidth="1"/>
    <col min="16" max="16" width="1" style="4" customWidth="1"/>
    <col min="17" max="16384" width="9.140625" style="4"/>
  </cols>
  <sheetData>
    <row r="1" spans="1:15" ht="77.25" customHeight="1" x14ac:dyDescent="0.25">
      <c r="A1" s="114" t="s">
        <v>101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6.25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/>
      <c r="O2"/>
    </row>
    <row r="3" spans="1:15" ht="23.25" x14ac:dyDescent="0.35">
      <c r="A3" s="116" t="s">
        <v>102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6" spans="1:15" ht="28.5" x14ac:dyDescent="0.45">
      <c r="A6" s="115" t="s">
        <v>90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9" spans="1:15" ht="21" x14ac:dyDescent="0.35">
      <c r="B9" s="49" t="s">
        <v>104</v>
      </c>
      <c r="C9" s="50"/>
      <c r="D9" s="50"/>
      <c r="E9" s="50"/>
      <c r="F9" s="48"/>
      <c r="G9" s="48"/>
      <c r="H9" s="48"/>
      <c r="I9" s="48"/>
      <c r="J9" s="48"/>
      <c r="K9" s="48"/>
      <c r="L9" s="48"/>
      <c r="M9" s="48"/>
      <c r="N9" s="48"/>
    </row>
    <row r="11" spans="1:15" x14ac:dyDescent="0.25">
      <c r="B11" s="67" t="s">
        <v>105</v>
      </c>
    </row>
    <row r="12" spans="1:15" ht="19.5" customHeight="1" x14ac:dyDescent="0.25">
      <c r="B12" s="136" t="s">
        <v>1</v>
      </c>
      <c r="C12" s="136"/>
      <c r="D12" s="137" t="s">
        <v>2</v>
      </c>
      <c r="E12" s="137" t="s">
        <v>3</v>
      </c>
      <c r="F12" s="139" t="s">
        <v>4</v>
      </c>
      <c r="G12" s="140"/>
      <c r="H12" s="139" t="s">
        <v>5</v>
      </c>
      <c r="I12" s="141"/>
      <c r="J12" s="140"/>
    </row>
    <row r="13" spans="1:15" ht="12" customHeight="1" x14ac:dyDescent="0.25">
      <c r="B13" s="136" t="s">
        <v>6</v>
      </c>
      <c r="C13" s="143" t="s">
        <v>65</v>
      </c>
      <c r="D13" s="138"/>
      <c r="E13" s="138"/>
      <c r="F13" s="81"/>
      <c r="G13" s="82" t="s">
        <v>50</v>
      </c>
      <c r="H13" s="82" t="s">
        <v>39</v>
      </c>
      <c r="I13" s="82" t="s">
        <v>39</v>
      </c>
      <c r="J13" s="82"/>
    </row>
    <row r="14" spans="1:15" ht="13.5" customHeight="1" x14ac:dyDescent="0.25">
      <c r="B14" s="142"/>
      <c r="C14" s="144"/>
      <c r="D14" s="138"/>
      <c r="E14" s="138"/>
      <c r="F14" s="46" t="s">
        <v>62</v>
      </c>
      <c r="G14" s="46" t="s">
        <v>40</v>
      </c>
      <c r="H14" s="46" t="s">
        <v>51</v>
      </c>
      <c r="I14" s="46" t="s">
        <v>11</v>
      </c>
      <c r="J14" s="46" t="s">
        <v>63</v>
      </c>
    </row>
    <row r="15" spans="1:15" x14ac:dyDescent="0.25">
      <c r="B15" s="142"/>
      <c r="C15" s="144"/>
      <c r="D15" s="138"/>
      <c r="E15" s="138"/>
      <c r="F15" s="46" t="s">
        <v>38</v>
      </c>
      <c r="G15" s="46" t="s">
        <v>41</v>
      </c>
      <c r="H15" s="46" t="s">
        <v>64</v>
      </c>
      <c r="I15" s="46" t="s">
        <v>13</v>
      </c>
      <c r="J15" s="46" t="s">
        <v>13</v>
      </c>
    </row>
    <row r="16" spans="1:15" x14ac:dyDescent="0.25">
      <c r="B16" s="142"/>
      <c r="C16" s="145"/>
      <c r="D16" s="138"/>
      <c r="E16" s="138"/>
      <c r="F16" s="83" t="s">
        <v>64</v>
      </c>
      <c r="G16" s="83" t="s">
        <v>13</v>
      </c>
      <c r="H16" s="83" t="s">
        <v>39</v>
      </c>
      <c r="I16" s="83" t="s">
        <v>39</v>
      </c>
      <c r="J16" s="83" t="s">
        <v>39</v>
      </c>
    </row>
    <row r="17" spans="2:14" x14ac:dyDescent="0.25">
      <c r="B17" s="25" t="s">
        <v>42</v>
      </c>
      <c r="C17" s="25" t="s">
        <v>43</v>
      </c>
      <c r="D17" s="26" t="s">
        <v>44</v>
      </c>
      <c r="E17" s="25" t="s">
        <v>45</v>
      </c>
      <c r="F17" s="25" t="s">
        <v>46</v>
      </c>
      <c r="G17" s="25" t="s">
        <v>47</v>
      </c>
      <c r="H17" s="25" t="s">
        <v>48</v>
      </c>
      <c r="I17" s="25" t="s">
        <v>49</v>
      </c>
      <c r="J17" s="25" t="s">
        <v>52</v>
      </c>
    </row>
    <row r="18" spans="2:14" x14ac:dyDescent="0.25">
      <c r="B18" s="6" t="s">
        <v>66</v>
      </c>
      <c r="C18" s="6" t="s">
        <v>67</v>
      </c>
      <c r="D18" s="40">
        <v>772</v>
      </c>
      <c r="E18" s="40">
        <v>251</v>
      </c>
      <c r="F18" s="40">
        <v>66212</v>
      </c>
      <c r="G18" s="40">
        <v>9514</v>
      </c>
      <c r="H18" s="40">
        <v>53352</v>
      </c>
      <c r="I18" s="40">
        <v>1853220</v>
      </c>
      <c r="J18" s="40">
        <v>3250</v>
      </c>
      <c r="K18" s="42"/>
      <c r="M18" s="41"/>
    </row>
    <row r="19" spans="2:14" x14ac:dyDescent="0.25">
      <c r="B19" s="6" t="s">
        <v>68</v>
      </c>
      <c r="C19" s="6" t="s">
        <v>67</v>
      </c>
      <c r="D19" s="40">
        <v>319</v>
      </c>
      <c r="E19" s="40">
        <v>288</v>
      </c>
      <c r="F19" s="40">
        <v>38390</v>
      </c>
      <c r="G19" s="40">
        <v>1608</v>
      </c>
      <c r="H19" s="40">
        <v>18346</v>
      </c>
      <c r="I19" s="40">
        <v>0</v>
      </c>
      <c r="J19" s="40">
        <v>0</v>
      </c>
    </row>
    <row r="20" spans="2:14" x14ac:dyDescent="0.25">
      <c r="B20" s="6" t="s">
        <v>67</v>
      </c>
      <c r="C20" s="6" t="s">
        <v>69</v>
      </c>
      <c r="D20" s="40">
        <v>332</v>
      </c>
      <c r="E20" s="40">
        <v>175</v>
      </c>
      <c r="F20" s="40">
        <v>18325</v>
      </c>
      <c r="G20" s="40">
        <v>5553</v>
      </c>
      <c r="H20" s="40">
        <v>27227</v>
      </c>
      <c r="I20" s="40">
        <v>522</v>
      </c>
      <c r="J20" s="40">
        <v>41</v>
      </c>
    </row>
    <row r="21" spans="2:14" x14ac:dyDescent="0.25">
      <c r="B21" s="65"/>
      <c r="C21" s="65"/>
      <c r="D21" s="65"/>
      <c r="E21" s="66"/>
      <c r="F21" s="66"/>
      <c r="G21" s="66"/>
      <c r="H21" s="66"/>
      <c r="I21" s="66"/>
      <c r="J21" s="66"/>
    </row>
    <row r="22" spans="2:14" x14ac:dyDescent="0.25">
      <c r="B22" s="79"/>
      <c r="C22" s="79"/>
      <c r="D22" s="79"/>
      <c r="E22" s="80"/>
      <c r="F22" s="80"/>
      <c r="G22" s="80"/>
      <c r="H22" s="80"/>
      <c r="I22" s="80"/>
      <c r="J22" s="80"/>
    </row>
    <row r="23" spans="2:14" x14ac:dyDescent="0.25">
      <c r="B23" s="67" t="s">
        <v>106</v>
      </c>
      <c r="C23" s="79"/>
      <c r="D23" s="79"/>
      <c r="E23" s="80"/>
      <c r="F23" s="80"/>
      <c r="G23" s="80"/>
      <c r="H23" s="80"/>
      <c r="I23" s="80"/>
      <c r="J23" s="80"/>
    </row>
    <row r="24" spans="2:14" x14ac:dyDescent="0.25">
      <c r="B24" s="84" t="s">
        <v>79</v>
      </c>
      <c r="C24" s="45"/>
      <c r="D24" s="45"/>
      <c r="E24" s="45"/>
      <c r="F24" s="45"/>
      <c r="G24" s="45"/>
    </row>
    <row r="25" spans="2:14" x14ac:dyDescent="0.25">
      <c r="B25" s="84" t="s">
        <v>80</v>
      </c>
      <c r="C25" s="45"/>
      <c r="D25" s="45"/>
      <c r="E25" s="45"/>
      <c r="F25" s="45"/>
      <c r="G25" s="45"/>
    </row>
    <row r="26" spans="2:14" x14ac:dyDescent="0.25">
      <c r="B26" s="84" t="s">
        <v>81</v>
      </c>
      <c r="C26" s="45"/>
      <c r="D26" s="45"/>
      <c r="E26" s="45"/>
      <c r="F26" s="45"/>
      <c r="G26" s="45"/>
    </row>
    <row r="27" spans="2:14" ht="18" customHeight="1" x14ac:dyDescent="0.25"/>
    <row r="28" spans="2:14" ht="18" customHeight="1" x14ac:dyDescent="0.25"/>
    <row r="29" spans="2:14" ht="21" x14ac:dyDescent="0.35">
      <c r="B29" s="49" t="s">
        <v>107</v>
      </c>
      <c r="C29" s="50"/>
      <c r="D29" s="50"/>
      <c r="E29" s="50"/>
      <c r="F29" s="48"/>
      <c r="G29" s="48"/>
      <c r="H29" s="48"/>
      <c r="I29" s="48"/>
      <c r="J29" s="48"/>
      <c r="K29" s="48"/>
      <c r="L29" s="48"/>
      <c r="M29" s="48"/>
      <c r="N29" s="48"/>
    </row>
    <row r="31" spans="2:14" x14ac:dyDescent="0.25">
      <c r="D31" s="47" t="s">
        <v>99</v>
      </c>
      <c r="E31" s="47"/>
      <c r="F31" s="47"/>
      <c r="G31" s="47"/>
    </row>
    <row r="32" spans="2:14" ht="5.25" customHeight="1" x14ac:dyDescent="0.25"/>
    <row r="33" spans="3:14" ht="36.75" customHeight="1" x14ac:dyDescent="0.25">
      <c r="H33" s="124" t="s">
        <v>70</v>
      </c>
      <c r="I33" s="124" t="s">
        <v>71</v>
      </c>
      <c r="J33" s="124" t="s">
        <v>72</v>
      </c>
      <c r="K33" s="87" t="s">
        <v>109</v>
      </c>
      <c r="L33" s="87" t="s">
        <v>73</v>
      </c>
      <c r="M33" s="87" t="s">
        <v>74</v>
      </c>
      <c r="N33" s="87" t="s">
        <v>75</v>
      </c>
    </row>
    <row r="34" spans="3:14" ht="21" customHeight="1" x14ac:dyDescent="0.25">
      <c r="H34" s="124"/>
      <c r="I34" s="124"/>
      <c r="J34" s="124"/>
      <c r="K34" s="88" t="s">
        <v>13</v>
      </c>
      <c r="L34" s="88" t="s">
        <v>13</v>
      </c>
      <c r="M34" s="89" t="s">
        <v>37</v>
      </c>
      <c r="N34" s="89" t="s">
        <v>37</v>
      </c>
    </row>
    <row r="35" spans="3:14" x14ac:dyDescent="0.25">
      <c r="H35" s="71" t="s">
        <v>76</v>
      </c>
      <c r="I35" s="90">
        <v>772</v>
      </c>
      <c r="J35" s="91">
        <f>ROUND(F18/$E18,0)</f>
        <v>264</v>
      </c>
      <c r="K35" s="91">
        <f>ROUND(G18/$E18,0)</f>
        <v>38</v>
      </c>
      <c r="L35" s="92">
        <f>H18*0.1+I18+J18</f>
        <v>1861805.2</v>
      </c>
      <c r="M35" s="91">
        <f>ROUND(100*H18/F18,1)</f>
        <v>80.599999999999994</v>
      </c>
      <c r="N35" s="93">
        <f>ROUND(100*L35/G18,1)</f>
        <v>19569.099999999999</v>
      </c>
    </row>
    <row r="36" spans="3:14" x14ac:dyDescent="0.25">
      <c r="H36" s="71" t="s">
        <v>77</v>
      </c>
      <c r="I36" s="90">
        <v>319</v>
      </c>
      <c r="J36" s="91">
        <f>ROUND(F19/E19,0)</f>
        <v>133</v>
      </c>
      <c r="K36" s="93">
        <f>ROUND(G19/$E19,0)</f>
        <v>6</v>
      </c>
      <c r="L36" s="94">
        <f>H19*0.1+I19+J19</f>
        <v>1834.6000000000001</v>
      </c>
      <c r="M36" s="91">
        <f>ROUND(100*H19/F19,1)</f>
        <v>47.8</v>
      </c>
      <c r="N36" s="93">
        <f>ROUND(100*L36/G19,1)</f>
        <v>114.1</v>
      </c>
    </row>
    <row r="37" spans="3:14" x14ac:dyDescent="0.25">
      <c r="H37" s="71" t="s">
        <v>78</v>
      </c>
      <c r="I37" s="90">
        <v>332</v>
      </c>
      <c r="J37" s="93">
        <f>ROUND(F20/E20,0)</f>
        <v>105</v>
      </c>
      <c r="K37" s="91">
        <f>ROUND(G20/$E20,0)</f>
        <v>32</v>
      </c>
      <c r="L37" s="94">
        <f>H20*0.1+I20+J20</f>
        <v>3285.7000000000003</v>
      </c>
      <c r="M37" s="93">
        <f>ROUND(100*H20/F20,1)</f>
        <v>148.6</v>
      </c>
      <c r="N37" s="91">
        <f>ROUND(100*L37/G20,1)</f>
        <v>59.2</v>
      </c>
    </row>
    <row r="38" spans="3:14" ht="6.75" customHeight="1" x14ac:dyDescent="0.25"/>
    <row r="39" spans="3:14" hidden="1" x14ac:dyDescent="0.25"/>
    <row r="40" spans="3:14" ht="21" x14ac:dyDescent="0.35">
      <c r="I40" s="95" t="s">
        <v>108</v>
      </c>
      <c r="J40" s="86" t="s">
        <v>110</v>
      </c>
      <c r="K40" s="85"/>
      <c r="L40" s="85"/>
      <c r="M40" s="78"/>
    </row>
    <row r="41" spans="3:14" x14ac:dyDescent="0.25">
      <c r="C41" s="99" t="s">
        <v>117</v>
      </c>
    </row>
    <row r="42" spans="3:14" ht="15" customHeight="1" x14ac:dyDescent="0.25">
      <c r="C42" s="125" t="s">
        <v>111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3:14" ht="15" customHeight="1" x14ac:dyDescent="0.25">
      <c r="C43" s="125" t="s">
        <v>112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3:14" ht="33" customHeight="1" x14ac:dyDescent="0.25">
      <c r="C44" s="125" t="s">
        <v>116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3:14" x14ac:dyDescent="0.25">
      <c r="C45" s="125" t="s">
        <v>114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3:14" x14ac:dyDescent="0.25">
      <c r="C46" s="125" t="s">
        <v>113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3:14" x14ac:dyDescent="0.25">
      <c r="C47" s="125" t="s">
        <v>115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51" spans="2:14" ht="25.5" customHeight="1" x14ac:dyDescent="0.35">
      <c r="B51" s="49" t="s">
        <v>100</v>
      </c>
      <c r="C51" s="50"/>
      <c r="D51" s="50"/>
      <c r="E51" s="50"/>
      <c r="F51" s="48"/>
      <c r="G51" s="48"/>
      <c r="H51" s="48"/>
      <c r="I51" s="48"/>
      <c r="J51" s="48"/>
      <c r="K51" s="48"/>
      <c r="L51" s="48"/>
      <c r="M51" s="48"/>
      <c r="N51" s="48"/>
    </row>
    <row r="53" spans="2:14" x14ac:dyDescent="0.25">
      <c r="B53" s="126" t="s">
        <v>1</v>
      </c>
      <c r="C53" s="126"/>
      <c r="D53" s="127" t="s">
        <v>2</v>
      </c>
      <c r="E53" s="127" t="s">
        <v>3</v>
      </c>
      <c r="F53" s="129" t="s">
        <v>4</v>
      </c>
      <c r="G53" s="130"/>
      <c r="H53" s="129" t="s">
        <v>5</v>
      </c>
      <c r="I53" s="131"/>
      <c r="J53" s="130"/>
    </row>
    <row r="54" spans="2:14" x14ac:dyDescent="0.25">
      <c r="B54" s="126" t="s">
        <v>6</v>
      </c>
      <c r="C54" s="133" t="s">
        <v>65</v>
      </c>
      <c r="D54" s="128"/>
      <c r="E54" s="128"/>
      <c r="F54" s="63"/>
      <c r="G54" s="64" t="s">
        <v>50</v>
      </c>
      <c r="H54" s="64" t="s">
        <v>39</v>
      </c>
      <c r="I54" s="64" t="s">
        <v>39</v>
      </c>
      <c r="J54" s="64"/>
    </row>
    <row r="55" spans="2:14" x14ac:dyDescent="0.25">
      <c r="B55" s="132"/>
      <c r="C55" s="134"/>
      <c r="D55" s="128"/>
      <c r="E55" s="128"/>
      <c r="F55" s="44" t="s">
        <v>62</v>
      </c>
      <c r="G55" s="44" t="s">
        <v>40</v>
      </c>
      <c r="H55" s="44" t="s">
        <v>51</v>
      </c>
      <c r="I55" s="44" t="s">
        <v>11</v>
      </c>
      <c r="J55" s="44" t="s">
        <v>63</v>
      </c>
    </row>
    <row r="56" spans="2:14" x14ac:dyDescent="0.25">
      <c r="B56" s="132"/>
      <c r="C56" s="134"/>
      <c r="D56" s="128"/>
      <c r="E56" s="128"/>
      <c r="F56" s="44" t="s">
        <v>38</v>
      </c>
      <c r="G56" s="44" t="s">
        <v>41</v>
      </c>
      <c r="H56" s="44" t="s">
        <v>64</v>
      </c>
      <c r="I56" s="44" t="s">
        <v>13</v>
      </c>
      <c r="J56" s="44" t="s">
        <v>13</v>
      </c>
    </row>
    <row r="57" spans="2:14" x14ac:dyDescent="0.25">
      <c r="B57" s="132"/>
      <c r="C57" s="135"/>
      <c r="D57" s="128"/>
      <c r="E57" s="128"/>
      <c r="F57" s="29" t="s">
        <v>64</v>
      </c>
      <c r="G57" s="29" t="s">
        <v>13</v>
      </c>
      <c r="H57" s="29" t="s">
        <v>39</v>
      </c>
      <c r="I57" s="29" t="s">
        <v>39</v>
      </c>
      <c r="J57" s="29" t="s">
        <v>39</v>
      </c>
    </row>
    <row r="58" spans="2:14" x14ac:dyDescent="0.25">
      <c r="B58" s="25" t="s">
        <v>42</v>
      </c>
      <c r="C58" s="25" t="s">
        <v>43</v>
      </c>
      <c r="D58" s="26" t="s">
        <v>44</v>
      </c>
      <c r="E58" s="25" t="s">
        <v>45</v>
      </c>
      <c r="F58" s="25" t="s">
        <v>46</v>
      </c>
      <c r="G58" s="25" t="s">
        <v>47</v>
      </c>
      <c r="H58" s="25" t="s">
        <v>48</v>
      </c>
      <c r="I58" s="25" t="s">
        <v>49</v>
      </c>
      <c r="J58" s="25" t="s">
        <v>52</v>
      </c>
    </row>
    <row r="59" spans="2:14" x14ac:dyDescent="0.25">
      <c r="B59" s="6" t="s">
        <v>66</v>
      </c>
      <c r="C59" s="6" t="s">
        <v>67</v>
      </c>
      <c r="D59" s="40">
        <v>772</v>
      </c>
      <c r="E59" s="40">
        <v>251</v>
      </c>
      <c r="F59" s="40">
        <v>66212</v>
      </c>
      <c r="G59" s="40">
        <v>9514</v>
      </c>
      <c r="H59" s="40">
        <v>53352</v>
      </c>
      <c r="I59" s="96">
        <f>+I18/1000</f>
        <v>1853.22</v>
      </c>
      <c r="J59" s="96">
        <f>+J18/1000</f>
        <v>3.25</v>
      </c>
    </row>
    <row r="60" spans="2:14" x14ac:dyDescent="0.25">
      <c r="B60" s="6" t="s">
        <v>68</v>
      </c>
      <c r="C60" s="6" t="s">
        <v>67</v>
      </c>
      <c r="D60" s="40">
        <v>319</v>
      </c>
      <c r="E60" s="40">
        <v>288</v>
      </c>
      <c r="F60" s="40">
        <v>38390</v>
      </c>
      <c r="G60" s="96">
        <f>+E60*13</f>
        <v>3744</v>
      </c>
      <c r="H60" s="40">
        <v>18346</v>
      </c>
      <c r="I60" s="40">
        <v>0</v>
      </c>
      <c r="J60" s="40">
        <v>0</v>
      </c>
    </row>
    <row r="61" spans="2:14" x14ac:dyDescent="0.25">
      <c r="B61" s="6" t="s">
        <v>67</v>
      </c>
      <c r="C61" s="6" t="s">
        <v>69</v>
      </c>
      <c r="D61" s="40">
        <v>332</v>
      </c>
      <c r="E61" s="40">
        <v>175</v>
      </c>
      <c r="F61" s="96">
        <f>+E61*219</f>
        <v>38325</v>
      </c>
      <c r="G61" s="40">
        <v>5553</v>
      </c>
      <c r="H61" s="40">
        <v>27227</v>
      </c>
      <c r="I61" s="40">
        <v>522</v>
      </c>
      <c r="J61" s="40">
        <v>41</v>
      </c>
    </row>
    <row r="65" spans="2:8" ht="38.25" x14ac:dyDescent="0.25">
      <c r="B65" s="124" t="s">
        <v>70</v>
      </c>
      <c r="C65" s="124" t="s">
        <v>71</v>
      </c>
      <c r="D65" s="124" t="s">
        <v>72</v>
      </c>
      <c r="E65" s="87" t="s">
        <v>109</v>
      </c>
      <c r="F65" s="87" t="s">
        <v>73</v>
      </c>
      <c r="G65" s="87" t="s">
        <v>74</v>
      </c>
      <c r="H65" s="87" t="s">
        <v>75</v>
      </c>
    </row>
    <row r="66" spans="2:8" x14ac:dyDescent="0.25">
      <c r="B66" s="124"/>
      <c r="C66" s="124"/>
      <c r="D66" s="124"/>
      <c r="E66" s="88" t="s">
        <v>13</v>
      </c>
      <c r="F66" s="88" t="s">
        <v>13</v>
      </c>
      <c r="G66" s="89" t="s">
        <v>37</v>
      </c>
      <c r="H66" s="89" t="s">
        <v>37</v>
      </c>
    </row>
    <row r="67" spans="2:8" x14ac:dyDescent="0.25">
      <c r="B67" s="71" t="s">
        <v>76</v>
      </c>
      <c r="C67" s="90">
        <v>772</v>
      </c>
      <c r="D67" s="91">
        <f>ROUND(F59/$E59,0)</f>
        <v>264</v>
      </c>
      <c r="E67" s="91">
        <f>ROUND(G59/$E59,0)</f>
        <v>38</v>
      </c>
      <c r="F67" s="98">
        <f>H59*0.1+I59+J59</f>
        <v>7191.670000000001</v>
      </c>
      <c r="G67" s="91">
        <f>ROUND(100*H59/F59,1)</f>
        <v>80.599999999999994</v>
      </c>
      <c r="H67" s="97">
        <f>ROUND(100*F67/G59,1)</f>
        <v>75.599999999999994</v>
      </c>
    </row>
    <row r="68" spans="2:8" x14ac:dyDescent="0.25">
      <c r="B68" s="71" t="s">
        <v>77</v>
      </c>
      <c r="C68" s="90">
        <v>319</v>
      </c>
      <c r="D68" s="91">
        <f>ROUND(F60/E60,0)</f>
        <v>133</v>
      </c>
      <c r="E68" s="97">
        <f>ROUND(G60/$E60,0)</f>
        <v>13</v>
      </c>
      <c r="F68" s="94">
        <f>H60*0.1+I60+J60</f>
        <v>1834.6000000000001</v>
      </c>
      <c r="G68" s="91">
        <f>ROUND(100*H60/F60,1)</f>
        <v>47.8</v>
      </c>
      <c r="H68" s="97">
        <f>ROUND(100*F68/G60,1)</f>
        <v>49</v>
      </c>
    </row>
    <row r="69" spans="2:8" x14ac:dyDescent="0.25">
      <c r="B69" s="71" t="s">
        <v>78</v>
      </c>
      <c r="C69" s="90">
        <v>332</v>
      </c>
      <c r="D69" s="97">
        <f>ROUND(F61/E61,0)</f>
        <v>219</v>
      </c>
      <c r="E69" s="91">
        <f>ROUND(G61/$E61,0)</f>
        <v>32</v>
      </c>
      <c r="F69" s="94">
        <f>H61*0.1+I61+J61</f>
        <v>3285.7000000000003</v>
      </c>
      <c r="G69" s="97">
        <f>ROUND(100*H61/F61,1)</f>
        <v>71</v>
      </c>
      <c r="H69" s="91">
        <f>ROUND(100*F69/G61,1)</f>
        <v>59.2</v>
      </c>
    </row>
  </sheetData>
  <mergeCells count="29">
    <mergeCell ref="A1:O1"/>
    <mergeCell ref="A3:O3"/>
    <mergeCell ref="H33:H34"/>
    <mergeCell ref="I33:I34"/>
    <mergeCell ref="J33:J34"/>
    <mergeCell ref="A6:O6"/>
    <mergeCell ref="B12:C12"/>
    <mergeCell ref="D12:D16"/>
    <mergeCell ref="E12:E16"/>
    <mergeCell ref="F12:G12"/>
    <mergeCell ref="H12:J12"/>
    <mergeCell ref="B13:B16"/>
    <mergeCell ref="C13:C16"/>
    <mergeCell ref="C42:N42"/>
    <mergeCell ref="C43:N43"/>
    <mergeCell ref="C44:N44"/>
    <mergeCell ref="B53:C53"/>
    <mergeCell ref="D53:D57"/>
    <mergeCell ref="E53:E57"/>
    <mergeCell ref="F53:G53"/>
    <mergeCell ref="H53:J53"/>
    <mergeCell ref="B54:B57"/>
    <mergeCell ref="C54:C57"/>
    <mergeCell ref="C45:M45"/>
    <mergeCell ref="B65:B66"/>
    <mergeCell ref="C65:C66"/>
    <mergeCell ref="D65:D66"/>
    <mergeCell ref="C46:M46"/>
    <mergeCell ref="C47:M47"/>
  </mergeCells>
  <pageMargins left="0.25" right="0.25" top="0.75" bottom="0.75" header="0.3" footer="0.3"/>
  <pageSetup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zoomScaleNormal="100" workbookViewId="0">
      <selection activeCell="B25" sqref="B25"/>
    </sheetView>
  </sheetViews>
  <sheetFormatPr defaultRowHeight="15" x14ac:dyDescent="0.25"/>
  <cols>
    <col min="1" max="1" width="11" customWidth="1"/>
    <col min="2" max="2" width="20.5703125" customWidth="1"/>
    <col min="3" max="3" width="14.28515625" customWidth="1"/>
    <col min="4" max="4" width="12.28515625" customWidth="1"/>
    <col min="5" max="5" width="11.85546875" customWidth="1"/>
    <col min="6" max="6" width="13.7109375" customWidth="1"/>
    <col min="7" max="7" width="14" customWidth="1"/>
    <col min="8" max="8" width="12.85546875" customWidth="1"/>
    <col min="9" max="9" width="1" customWidth="1"/>
  </cols>
  <sheetData>
    <row r="1" spans="1:14" s="4" customFormat="1" ht="96.75" customHeight="1" x14ac:dyDescent="0.25">
      <c r="A1" s="114" t="s">
        <v>101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4" customFormat="1" ht="26.25" x14ac:dyDescent="0.4">
      <c r="A2" s="43"/>
      <c r="B2" s="43"/>
      <c r="C2" s="43"/>
      <c r="D2" s="43"/>
      <c r="E2" s="43"/>
      <c r="F2" s="43"/>
      <c r="G2" s="43"/>
      <c r="H2" s="43"/>
    </row>
    <row r="3" spans="1:14" s="4" customFormat="1" ht="23.25" x14ac:dyDescent="0.35">
      <c r="A3" s="116" t="s">
        <v>102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6" spans="1:14" ht="18.75" x14ac:dyDescent="0.3">
      <c r="A6" s="146" t="s">
        <v>91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8" spans="1:14" ht="4.5" customHeight="1" x14ac:dyDescent="0.25"/>
    <row r="9" spans="1:14" x14ac:dyDescent="0.25">
      <c r="B9" s="147" t="s">
        <v>10</v>
      </c>
      <c r="C9" s="107" t="s">
        <v>85</v>
      </c>
      <c r="D9" s="149" t="s">
        <v>86</v>
      </c>
      <c r="E9" s="149"/>
      <c r="F9" s="149" t="s">
        <v>59</v>
      </c>
      <c r="G9" s="149"/>
      <c r="H9" s="102" t="s">
        <v>60</v>
      </c>
    </row>
    <row r="10" spans="1:14" ht="15.75" thickBot="1" x14ac:dyDescent="0.3">
      <c r="B10" s="148"/>
      <c r="C10" s="108" t="s">
        <v>53</v>
      </c>
      <c r="D10" s="106" t="s">
        <v>54</v>
      </c>
      <c r="E10" s="106" t="s">
        <v>53</v>
      </c>
      <c r="F10" s="106" t="s">
        <v>54</v>
      </c>
      <c r="G10" s="106" t="s">
        <v>53</v>
      </c>
      <c r="H10" s="106" t="s">
        <v>54</v>
      </c>
    </row>
    <row r="11" spans="1:14" x14ac:dyDescent="0.25">
      <c r="B11" s="112" t="s">
        <v>55</v>
      </c>
      <c r="C11" s="109">
        <v>200</v>
      </c>
      <c r="D11" s="105">
        <v>95</v>
      </c>
      <c r="E11" s="105">
        <v>125</v>
      </c>
      <c r="F11" s="105">
        <v>80</v>
      </c>
      <c r="G11" s="105">
        <v>50</v>
      </c>
      <c r="H11" s="105">
        <v>140</v>
      </c>
    </row>
    <row r="12" spans="1:14" x14ac:dyDescent="0.25">
      <c r="B12" s="113" t="s">
        <v>56</v>
      </c>
      <c r="C12" s="110">
        <v>0</v>
      </c>
      <c r="D12" s="103">
        <v>130</v>
      </c>
      <c r="E12" s="103">
        <v>130</v>
      </c>
      <c r="F12" s="103">
        <v>145</v>
      </c>
      <c r="G12" s="103">
        <v>145</v>
      </c>
      <c r="H12" s="103">
        <v>0</v>
      </c>
    </row>
    <row r="13" spans="1:14" x14ac:dyDescent="0.25">
      <c r="B13" s="113" t="s">
        <v>57</v>
      </c>
      <c r="C13" s="111">
        <f>+C14-C11-C12</f>
        <v>40</v>
      </c>
      <c r="D13" s="104">
        <f>+D14-D11-D12</f>
        <v>15</v>
      </c>
      <c r="E13" s="104">
        <f t="shared" ref="E13:H13" si="0">+E14-E11-E12</f>
        <v>30</v>
      </c>
      <c r="F13" s="104">
        <f t="shared" si="0"/>
        <v>60</v>
      </c>
      <c r="G13" s="104">
        <f t="shared" si="0"/>
        <v>35</v>
      </c>
      <c r="H13" s="104">
        <f t="shared" si="0"/>
        <v>90</v>
      </c>
    </row>
    <row r="14" spans="1:14" x14ac:dyDescent="0.25">
      <c r="B14" s="113" t="s">
        <v>58</v>
      </c>
      <c r="C14" s="110">
        <v>240</v>
      </c>
      <c r="D14" s="103">
        <v>240</v>
      </c>
      <c r="E14" s="103">
        <v>285</v>
      </c>
      <c r="F14" s="103">
        <v>285</v>
      </c>
      <c r="G14" s="103">
        <v>230</v>
      </c>
      <c r="H14" s="103">
        <v>230</v>
      </c>
    </row>
    <row r="15" spans="1:14" ht="5.25" customHeight="1" x14ac:dyDescent="0.25">
      <c r="B15" s="5"/>
    </row>
    <row r="17" spans="3:6" x14ac:dyDescent="0.25">
      <c r="C17" s="100" t="s">
        <v>118</v>
      </c>
      <c r="D17" s="100"/>
    </row>
    <row r="18" spans="3:6" x14ac:dyDescent="0.25">
      <c r="C18" s="101" t="s">
        <v>119</v>
      </c>
      <c r="D18" s="101"/>
    </row>
    <row r="21" spans="3:6" x14ac:dyDescent="0.25">
      <c r="F21" s="1"/>
    </row>
  </sheetData>
  <mergeCells count="6">
    <mergeCell ref="A6:M6"/>
    <mergeCell ref="B9:B10"/>
    <mergeCell ref="D9:E9"/>
    <mergeCell ref="F9:G9"/>
    <mergeCell ref="A1:N1"/>
    <mergeCell ref="A3:N3"/>
  </mergeCells>
  <pageMargins left="0.25" right="0.25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7E1A58E51824D928176166504EF47" ma:contentTypeVersion="1" ma:contentTypeDescription="Create a new document." ma:contentTypeScope="" ma:versionID="cad83e66ccf37823375635bec5d66fd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436DB6-6942-4DC4-8E0C-76905734EAA8}"/>
</file>

<file path=customXml/itemProps2.xml><?xml version="1.0" encoding="utf-8"?>
<ds:datastoreItem xmlns:ds="http://schemas.openxmlformats.org/officeDocument/2006/customXml" ds:itemID="{B879B253-73B5-4705-809A-52382940AB85}"/>
</file>

<file path=customXml/itemProps3.xml><?xml version="1.0" encoding="utf-8"?>
<ds:datastoreItem xmlns:ds="http://schemas.openxmlformats.org/officeDocument/2006/customXml" ds:itemID="{A0BDF605-A27C-4A8B-A8E7-1998EF108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prob 3</vt:lpstr>
      <vt:lpstr>prob 5</vt:lpstr>
      <vt:lpstr>prob 11</vt:lpstr>
      <vt:lpstr>'prob 11'!Print_Area</vt:lpstr>
      <vt:lpstr>'prob 3'!Print_Area</vt:lpstr>
      <vt:lpstr>'prob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Cyrille</dc:creator>
  <cp:lastModifiedBy>Administrator</cp:lastModifiedBy>
  <cp:lastPrinted>2014-10-27T16:57:39Z</cp:lastPrinted>
  <dcterms:created xsi:type="dcterms:W3CDTF">2012-05-23T01:44:04Z</dcterms:created>
  <dcterms:modified xsi:type="dcterms:W3CDTF">2014-10-28T20:39:30Z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0x0101006EA7E1A58E51824D928176166504EF47</vt:lpwstr>
  </property>
</Properties>
</file>